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324"/>
  </bookViews>
  <sheets>
    <sheet name="Feuil1" sheetId="1" r:id="rId1"/>
    <sheet name="Feuil2" sheetId="2" r:id="rId2"/>
  </sheets>
  <definedNames>
    <definedName name="_xlnm.Print_Area" localSheetId="0">Feuil1!$A$1:$O$50</definedName>
  </definedNames>
  <calcPr calcId="145621"/>
</workbook>
</file>

<file path=xl/calcChain.xml><?xml version="1.0" encoding="utf-8"?>
<calcChain xmlns="http://schemas.openxmlformats.org/spreadsheetml/2006/main">
  <c r="E41" i="1" l="1"/>
  <c r="E18" i="1"/>
  <c r="D15" i="1"/>
  <c r="E14" i="1" s="1"/>
  <c r="B54" i="1"/>
  <c r="B55" i="1"/>
  <c r="B56" i="1"/>
  <c r="B57" i="1"/>
  <c r="B58" i="1"/>
  <c r="B59" i="1"/>
  <c r="B60" i="1"/>
  <c r="F8" i="2" l="1"/>
  <c r="E6" i="2" s="1"/>
  <c r="G6" i="2" s="1"/>
  <c r="E4" i="2"/>
  <c r="G4" i="2" s="1"/>
  <c r="B9" i="2"/>
  <c r="E15" i="1"/>
  <c r="I18" i="1"/>
  <c r="I19" i="1" s="1"/>
  <c r="E24" i="1" s="1"/>
  <c r="L72" i="1"/>
  <c r="L71" i="1"/>
  <c r="L70" i="1"/>
  <c r="L69" i="1"/>
  <c r="L68" i="1"/>
  <c r="L67" i="1"/>
  <c r="L66" i="1"/>
  <c r="E72" i="1"/>
  <c r="C72" i="1"/>
  <c r="E70" i="1"/>
  <c r="C70" i="1"/>
  <c r="E71" i="1"/>
  <c r="C71" i="1"/>
  <c r="E69" i="1"/>
  <c r="C69" i="1"/>
  <c r="E67" i="1"/>
  <c r="C67" i="1"/>
  <c r="E66" i="1"/>
  <c r="C66" i="1"/>
  <c r="E68" i="1"/>
  <c r="C68" i="1"/>
  <c r="E20" i="1"/>
  <c r="E34" i="1"/>
  <c r="E33" i="1"/>
  <c r="E30" i="1"/>
  <c r="D38" i="1"/>
  <c r="E39" i="1" s="1"/>
  <c r="F10" i="1" l="1"/>
  <c r="F9" i="1"/>
  <c r="F13" i="1"/>
  <c r="F8" i="1"/>
  <c r="F11" i="1"/>
  <c r="F14" i="1"/>
  <c r="E25" i="1"/>
  <c r="F67" i="1" s="1"/>
  <c r="G3" i="2"/>
  <c r="G5" i="2"/>
  <c r="E35" i="1"/>
  <c r="F15" i="1" l="1"/>
  <c r="F72" i="1"/>
  <c r="D53" i="1"/>
  <c r="D61" i="1"/>
  <c r="D58" i="1"/>
  <c r="F68" i="1"/>
  <c r="F70" i="1"/>
  <c r="D57" i="1"/>
  <c r="D54" i="1"/>
  <c r="D63" i="1"/>
  <c r="F66" i="1"/>
  <c r="F71" i="1"/>
  <c r="F69" i="1"/>
  <c r="D55" i="1"/>
  <c r="D59" i="1"/>
  <c r="D62" i="1"/>
  <c r="D56" i="1"/>
  <c r="D60" i="1"/>
  <c r="E62" i="1"/>
  <c r="E61" i="1"/>
  <c r="F61" i="1" s="1"/>
  <c r="E59" i="1"/>
  <c r="E57" i="1"/>
  <c r="E55" i="1"/>
  <c r="E53" i="1"/>
  <c r="E63" i="1"/>
  <c r="E60" i="1"/>
  <c r="E58" i="1"/>
  <c r="E56" i="1"/>
  <c r="E54" i="1"/>
  <c r="F54" i="1" s="1"/>
  <c r="E37" i="1"/>
  <c r="D68" i="1"/>
  <c r="D72" i="1"/>
  <c r="D71" i="1"/>
  <c r="D67" i="1"/>
  <c r="G67" i="1" s="1"/>
  <c r="H67" i="1" s="1"/>
  <c r="I67" i="1" s="1"/>
  <c r="D70" i="1"/>
  <c r="D69" i="1"/>
  <c r="D66" i="1"/>
  <c r="E9" i="2"/>
  <c r="G9" i="2"/>
  <c r="F57" i="1" l="1"/>
  <c r="F58" i="1"/>
  <c r="G69" i="1"/>
  <c r="H69" i="1" s="1"/>
  <c r="I69" i="1" s="1"/>
  <c r="F53" i="1"/>
  <c r="F56" i="1"/>
  <c r="F59" i="1"/>
  <c r="F60" i="1"/>
  <c r="G68" i="1"/>
  <c r="H68" i="1" s="1"/>
  <c r="I68" i="1" s="1"/>
  <c r="G72" i="1"/>
  <c r="H72" i="1" s="1"/>
  <c r="I72" i="1" s="1"/>
  <c r="G66" i="1"/>
  <c r="H66" i="1" s="1"/>
  <c r="I66" i="1" s="1"/>
  <c r="G70" i="1"/>
  <c r="H70" i="1" s="1"/>
  <c r="I70" i="1" s="1"/>
  <c r="G71" i="1"/>
  <c r="H71" i="1" s="1"/>
  <c r="I71" i="1" s="1"/>
  <c r="M67" i="1"/>
  <c r="F63" i="1"/>
  <c r="F55" i="1"/>
  <c r="F62" i="1"/>
  <c r="M69" i="1" l="1"/>
  <c r="M68" i="1"/>
  <c r="M70" i="1"/>
  <c r="M72" i="1"/>
  <c r="M71" i="1"/>
  <c r="M66" i="1"/>
  <c r="B53" i="1" l="1"/>
</calcChain>
</file>

<file path=xl/sharedStrings.xml><?xml version="1.0" encoding="utf-8"?>
<sst xmlns="http://schemas.openxmlformats.org/spreadsheetml/2006/main" count="80" uniqueCount="76">
  <si>
    <t>ESTIMATION PRIX DE REVIENT ULM</t>
  </si>
  <si>
    <t>ESTIMATION  DES  PRIX  DE  REVIENT  2008  TTC POUR  PAWNEE-RALLYE180-MCR R180 et 100-DYNAMIC</t>
  </si>
  <si>
    <t>Durée d'amortissement cellule en années</t>
  </si>
  <si>
    <t>Amortissement annuel cellule</t>
  </si>
  <si>
    <t>Frais fixes GNAV</t>
  </si>
  <si>
    <t>Anepvv "Accidents" (avion complet)</t>
  </si>
  <si>
    <t>Total coûts fixes annuels</t>
  </si>
  <si>
    <t>Coût moteur neuf ou révisé</t>
  </si>
  <si>
    <t>Potentiel réel en remorquage (heures)</t>
  </si>
  <si>
    <t>Consommation essence par heure (litres)</t>
  </si>
  <si>
    <t>Prix du litre d'essence</t>
  </si>
  <si>
    <t>Coût essence par remorqué</t>
  </si>
  <si>
    <t>Coût remorqué</t>
  </si>
  <si>
    <t>nbr remorqués</t>
  </si>
  <si>
    <t>Équivalent heures de vol</t>
  </si>
  <si>
    <t>Part fixe</t>
  </si>
  <si>
    <t>Part variable</t>
  </si>
  <si>
    <t>Entretien annuel</t>
  </si>
  <si>
    <t>Cout essence par heure de vol</t>
  </si>
  <si>
    <t>Coût huile au remorqué (0,1l/h à 5€)</t>
  </si>
  <si>
    <t>Coût consommable par remorqué</t>
  </si>
  <si>
    <t>Total coûts consommables par remorqué</t>
  </si>
  <si>
    <t>Hdv hors remorquage</t>
  </si>
  <si>
    <t>Coût extra  par remorqué (crochet)</t>
  </si>
  <si>
    <t>Nb Remorqués</t>
  </si>
  <si>
    <t>Coût cellule de base hors moteur, hors subvention</t>
  </si>
  <si>
    <t>Tarif remorqués</t>
  </si>
  <si>
    <t>Somme revenus</t>
  </si>
  <si>
    <t>Emprunt</t>
  </si>
  <si>
    <t>Intérêt</t>
  </si>
  <si>
    <t>Durée</t>
  </si>
  <si>
    <t>ans</t>
  </si>
  <si>
    <t>A rembouser chaque année</t>
  </si>
  <si>
    <t>Autofinancement</t>
  </si>
  <si>
    <t>Coût total emprunt</t>
  </si>
  <si>
    <t>Montant TTC</t>
  </si>
  <si>
    <t>Financement</t>
  </si>
  <si>
    <t>Montant</t>
  </si>
  <si>
    <t>Aéronef remorqueur</t>
  </si>
  <si>
    <t>Part</t>
  </si>
  <si>
    <t>Total</t>
  </si>
  <si>
    <t>Conseil Régional Bretagne</t>
  </si>
  <si>
    <t>CNDS</t>
  </si>
  <si>
    <t>FFVV</t>
  </si>
  <si>
    <t>Achat</t>
  </si>
  <si>
    <t>Direct</t>
  </si>
  <si>
    <t>Hdv
hors remorquage</t>
  </si>
  <si>
    <t>Nb
total hdv</t>
  </si>
  <si>
    <t>Coût annuel consommable</t>
  </si>
  <si>
    <t>Coût par heure de vol</t>
  </si>
  <si>
    <t>Coût extra remorquage</t>
  </si>
  <si>
    <t>Coût fixe annuel</t>
  </si>
  <si>
    <t>Coût annuel total</t>
  </si>
  <si>
    <t>Coût par remorqué</t>
  </si>
  <si>
    <t>Tarif hdv hors remorqué</t>
  </si>
  <si>
    <t>Bilan annuel</t>
  </si>
  <si>
    <t>Région Bretagne</t>
  </si>
  <si>
    <t>DGAC</t>
  </si>
  <si>
    <t>CNDS Investissement</t>
  </si>
  <si>
    <t>Remboursement annuel prêt</t>
  </si>
  <si>
    <t>Subventions</t>
  </si>
  <si>
    <t>Cout potentiel moteur par heure de vol</t>
  </si>
  <si>
    <t>Consommation essence par remorqué (litres)</t>
  </si>
  <si>
    <t>ULM remorqueur équipé</t>
  </si>
  <si>
    <t>Autofinancement CRVVB</t>
  </si>
  <si>
    <t>Achats</t>
  </si>
  <si>
    <t>COUTS FIXES ANNUELS</t>
  </si>
  <si>
    <t>PLAN DE FINANCEMENT ACQUISITION</t>
  </si>
  <si>
    <t>COUTS VARIABLES</t>
  </si>
  <si>
    <t>Ressources</t>
  </si>
  <si>
    <t>Cout variable par heure de vol</t>
  </si>
  <si>
    <t>Nombre moyen remorqués à l'heure</t>
  </si>
  <si>
    <t>par Emprunt FFVV (10 ans, 4%)</t>
  </si>
  <si>
    <t>par apport direct</t>
  </si>
  <si>
    <t>Proportion
financement</t>
  </si>
  <si>
    <t>acquise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</si>
</sst>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&quot; €&quot;;[Red]\-#,##0&quot; €&quot;"/>
    <numFmt numFmtId="165" formatCode="#,##0.00&quot; €&quot;;[Red]\-#,##0.00&quot; €&quot;"/>
    <numFmt numFmtId="166" formatCode="#,##0\ [$€-40C];[Red]\-#,##0\ [$€-40C]"/>
    <numFmt numFmtId="167" formatCode="0.0"/>
    <numFmt numFmtId="168" formatCode="_-* #,##0.00\ [$€-40C]_-;\-* #,##0.00\ [$€-40C]_-;_-* &quot;-&quot;??\ [$€-40C]_-;_-@_-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9" fontId="1" fillId="0" borderId="0" applyFill="0" applyBorder="0" applyAlignment="0" applyProtection="0"/>
  </cellStyleXfs>
  <cellXfs count="101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/>
    <xf numFmtId="0" fontId="5" fillId="0" borderId="0" xfId="0" applyFont="1"/>
    <xf numFmtId="0" fontId="0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NumberFormat="1"/>
    <xf numFmtId="1" fontId="0" fillId="0" borderId="0" xfId="0" applyNumberFormat="1"/>
    <xf numFmtId="166" fontId="0" fillId="0" borderId="0" xfId="0" applyNumberFormat="1"/>
    <xf numFmtId="0" fontId="5" fillId="0" borderId="0" xfId="0" applyFont="1" applyBorder="1" applyAlignment="1">
      <alignment horizontal="center"/>
    </xf>
    <xf numFmtId="167" fontId="0" fillId="0" borderId="0" xfId="0" applyNumberFormat="1"/>
    <xf numFmtId="168" fontId="0" fillId="0" borderId="0" xfId="0" applyNumberFormat="1"/>
    <xf numFmtId="9" fontId="1" fillId="0" borderId="0" xfId="2"/>
    <xf numFmtId="44" fontId="1" fillId="0" borderId="0" xfId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44" fontId="5" fillId="2" borderId="0" xfId="1" applyFont="1" applyFill="1" applyAlignment="1">
      <alignment horizontal="center"/>
    </xf>
    <xf numFmtId="9" fontId="5" fillId="2" borderId="0" xfId="2" applyFont="1" applyFill="1" applyAlignment="1">
      <alignment horizontal="center"/>
    </xf>
    <xf numFmtId="0" fontId="0" fillId="3" borderId="0" xfId="0" applyFill="1"/>
    <xf numFmtId="44" fontId="1" fillId="3" borderId="0" xfId="1" applyFill="1"/>
    <xf numFmtId="0" fontId="5" fillId="3" borderId="0" xfId="0" applyFont="1" applyFill="1"/>
    <xf numFmtId="44" fontId="5" fillId="3" borderId="0" xfId="1" applyFont="1" applyFill="1"/>
    <xf numFmtId="9" fontId="1" fillId="3" borderId="0" xfId="2" applyFill="1"/>
    <xf numFmtId="0" fontId="6" fillId="3" borderId="0" xfId="0" applyFont="1" applyFill="1" applyAlignment="1">
      <alignment horizontal="right"/>
    </xf>
    <xf numFmtId="44" fontId="6" fillId="3" borderId="0" xfId="1" applyFont="1" applyFill="1"/>
    <xf numFmtId="9" fontId="5" fillId="3" borderId="0" xfId="2" applyFont="1" applyFill="1"/>
    <xf numFmtId="0" fontId="0" fillId="0" borderId="0" xfId="0" applyBorder="1"/>
    <xf numFmtId="44" fontId="1" fillId="0" borderId="0" xfId="1" applyBorder="1"/>
    <xf numFmtId="165" fontId="0" fillId="0" borderId="0" xfId="0" applyNumberFormat="1" applyBorder="1"/>
    <xf numFmtId="165" fontId="5" fillId="0" borderId="0" xfId="0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165" fontId="0" fillId="0" borderId="0" xfId="0" applyNumberFormat="1" applyFill="1" applyBorder="1"/>
    <xf numFmtId="0" fontId="5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8" fontId="0" fillId="4" borderId="1" xfId="0" applyNumberFormat="1" applyFill="1" applyBorder="1"/>
    <xf numFmtId="6" fontId="0" fillId="6" borderId="1" xfId="0" applyNumberFormat="1" applyFill="1" applyBorder="1"/>
    <xf numFmtId="0" fontId="0" fillId="3" borderId="0" xfId="0" applyFont="1" applyFill="1"/>
    <xf numFmtId="44" fontId="1" fillId="3" borderId="0" xfId="1" applyFill="1" applyBorder="1"/>
    <xf numFmtId="0" fontId="0" fillId="3" borderId="0" xfId="0" applyFill="1" applyBorder="1"/>
    <xf numFmtId="44" fontId="1" fillId="3" borderId="0" xfId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3" borderId="0" xfId="0" applyFill="1" applyBorder="1" applyAlignment="1">
      <alignment horizontal="center"/>
    </xf>
    <xf numFmtId="0" fontId="5" fillId="3" borderId="0" xfId="0" applyFont="1" applyFill="1" applyBorder="1"/>
    <xf numFmtId="44" fontId="5" fillId="3" borderId="0" xfId="1" applyFont="1" applyFill="1" applyBorder="1"/>
    <xf numFmtId="164" fontId="0" fillId="3" borderId="0" xfId="0" applyNumberFormat="1" applyFill="1" applyBorder="1"/>
    <xf numFmtId="165" fontId="0" fillId="3" borderId="0" xfId="0" applyNumberFormat="1" applyFill="1" applyBorder="1"/>
    <xf numFmtId="2" fontId="0" fillId="3" borderId="0" xfId="0" applyNumberFormat="1" applyFill="1" applyBorder="1"/>
    <xf numFmtId="0" fontId="5" fillId="3" borderId="1" xfId="0" applyFont="1" applyFill="1" applyBorder="1" applyAlignment="1">
      <alignment horizontal="center" vertical="center" wrapText="1"/>
    </xf>
    <xf numFmtId="8" fontId="0" fillId="3" borderId="1" xfId="0" applyNumberFormat="1" applyFill="1" applyBorder="1"/>
    <xf numFmtId="0" fontId="0" fillId="5" borderId="1" xfId="0" applyFill="1" applyBorder="1" applyAlignment="1">
      <alignment horizontal="center"/>
    </xf>
    <xf numFmtId="167" fontId="0" fillId="5" borderId="1" xfId="0" applyNumberFormat="1" applyFill="1" applyBorder="1" applyAlignment="1">
      <alignment horizontal="center"/>
    </xf>
    <xf numFmtId="0" fontId="0" fillId="8" borderId="0" xfId="0" applyFont="1" applyFill="1"/>
    <xf numFmtId="0" fontId="0" fillId="8" borderId="0" xfId="0" applyFill="1"/>
    <xf numFmtId="0" fontId="0" fillId="9" borderId="0" xfId="0" applyFont="1" applyFill="1"/>
    <xf numFmtId="0" fontId="0" fillId="9" borderId="0" xfId="0" applyFill="1"/>
    <xf numFmtId="44" fontId="1" fillId="9" borderId="0" xfId="1" applyFill="1" applyBorder="1"/>
    <xf numFmtId="0" fontId="0" fillId="10" borderId="0" xfId="0" applyFill="1"/>
    <xf numFmtId="0" fontId="0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0" fillId="8" borderId="3" xfId="0" applyFill="1" applyBorder="1"/>
    <xf numFmtId="44" fontId="1" fillId="8" borderId="3" xfId="1" applyFont="1" applyFill="1" applyBorder="1"/>
    <xf numFmtId="44" fontId="1" fillId="9" borderId="3" xfId="1" applyFont="1" applyFill="1" applyBorder="1"/>
    <xf numFmtId="0" fontId="0" fillId="9" borderId="3" xfId="0" applyFill="1" applyBorder="1"/>
    <xf numFmtId="44" fontId="5" fillId="3" borderId="4" xfId="0" applyNumberFormat="1" applyFont="1" applyFill="1" applyBorder="1"/>
    <xf numFmtId="44" fontId="1" fillId="8" borderId="3" xfId="1" applyFill="1" applyBorder="1"/>
    <xf numFmtId="44" fontId="1" fillId="9" borderId="3" xfId="1" applyFill="1" applyBorder="1"/>
    <xf numFmtId="0" fontId="5" fillId="0" borderId="2" xfId="0" applyFont="1" applyBorder="1" applyAlignment="1">
      <alignment horizontal="center" vertical="center" wrapText="1"/>
    </xf>
    <xf numFmtId="0" fontId="0" fillId="8" borderId="3" xfId="0" applyFill="1" applyBorder="1" applyAlignment="1">
      <alignment horizontal="center"/>
    </xf>
    <xf numFmtId="9" fontId="1" fillId="8" borderId="3" xfId="2" applyFill="1" applyBorder="1" applyAlignment="1">
      <alignment horizontal="center"/>
    </xf>
    <xf numFmtId="9" fontId="1" fillId="9" borderId="3" xfId="2" applyFill="1" applyBorder="1" applyAlignment="1">
      <alignment horizontal="center"/>
    </xf>
    <xf numFmtId="9" fontId="5" fillId="0" borderId="4" xfId="0" applyNumberFormat="1" applyFont="1" applyBorder="1" applyAlignment="1">
      <alignment horizontal="center"/>
    </xf>
    <xf numFmtId="0" fontId="0" fillId="10" borderId="5" xfId="0" applyFont="1" applyFill="1" applyBorder="1"/>
    <xf numFmtId="0" fontId="7" fillId="10" borderId="6" xfId="0" applyFont="1" applyFill="1" applyBorder="1"/>
    <xf numFmtId="44" fontId="1" fillId="10" borderId="2" xfId="1" applyFill="1" applyBorder="1"/>
    <xf numFmtId="0" fontId="0" fillId="10" borderId="2" xfId="0" applyFill="1" applyBorder="1"/>
    <xf numFmtId="0" fontId="0" fillId="10" borderId="2" xfId="0" applyFill="1" applyBorder="1" applyAlignment="1">
      <alignment horizontal="center"/>
    </xf>
    <xf numFmtId="0" fontId="0" fillId="8" borderId="7" xfId="0" applyFont="1" applyFill="1" applyBorder="1"/>
    <xf numFmtId="0" fontId="5" fillId="8" borderId="0" xfId="0" applyFont="1" applyFill="1" applyBorder="1"/>
    <xf numFmtId="0" fontId="6" fillId="8" borderId="0" xfId="0" applyFont="1" applyFill="1" applyBorder="1"/>
    <xf numFmtId="0" fontId="0" fillId="8" borderId="0" xfId="0" applyFont="1" applyFill="1" applyBorder="1"/>
    <xf numFmtId="0" fontId="0" fillId="9" borderId="7" xfId="0" applyFont="1" applyFill="1" applyBorder="1"/>
    <xf numFmtId="0" fontId="0" fillId="9" borderId="0" xfId="0" applyFont="1" applyFill="1" applyBorder="1"/>
    <xf numFmtId="0" fontId="0" fillId="9" borderId="7" xfId="0" applyFill="1" applyBorder="1"/>
    <xf numFmtId="0" fontId="6" fillId="9" borderId="0" xfId="0" applyFont="1" applyFill="1" applyBorder="1"/>
    <xf numFmtId="0" fontId="0" fillId="9" borderId="8" xfId="0" applyFont="1" applyFill="1" applyBorder="1"/>
    <xf numFmtId="0" fontId="6" fillId="9" borderId="9" xfId="0" applyFont="1" applyFill="1" applyBorder="1"/>
    <xf numFmtId="0" fontId="5" fillId="9" borderId="9" xfId="0" applyFont="1" applyFill="1" applyBorder="1"/>
    <xf numFmtId="0" fontId="0" fillId="9" borderId="4" xfId="0" applyFill="1" applyBorder="1"/>
    <xf numFmtId="44" fontId="1" fillId="9" borderId="4" xfId="1" applyFill="1" applyBorder="1"/>
    <xf numFmtId="9" fontId="1" fillId="9" borderId="4" xfId="2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7" borderId="0" xfId="0" applyFont="1" applyFill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b="1"/>
              <a:t>Coût revient par heures</a:t>
            </a:r>
            <a:r>
              <a:rPr lang="fr-FR" b="1" baseline="0"/>
              <a:t> de vol</a:t>
            </a:r>
            <a:endParaRPr lang="fr-FR" b="1"/>
          </a:p>
        </c:rich>
      </c:tx>
      <c:layout>
        <c:manualLayout>
          <c:xMode val="edge"/>
          <c:yMode val="edge"/>
          <c:x val="0.3465131060667197"/>
          <c:y val="3.3707910405004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63077909848234"/>
          <c:y val="0.14043279988231558"/>
          <c:w val="0.83255254147404345"/>
          <c:h val="0.657320047383457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Feuil1!$D$52</c:f>
              <c:strCache>
                <c:ptCount val="1"/>
                <c:pt idx="0">
                  <c:v>Part fixe</c:v>
                </c:pt>
              </c:strCache>
            </c:strRef>
          </c:tx>
          <c:spPr>
            <a:solidFill>
              <a:srgbClr val="0084D1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Feuil1!$C$53:$C$63</c:f>
              <c:numCache>
                <c:formatCode>0</c:formatCode>
                <c:ptCount val="11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300</c:v>
                </c:pt>
                <c:pt idx="10">
                  <c:v>400</c:v>
                </c:pt>
              </c:numCache>
            </c:numRef>
          </c:cat>
          <c:val>
            <c:numRef>
              <c:f>Feuil1!$D$53:$D$63</c:f>
              <c:numCache>
                <c:formatCode>#,##0\ [$€-40C];[Red]\-#,##0\ [$€-40C]</c:formatCode>
                <c:ptCount val="11"/>
                <c:pt idx="0">
                  <c:v>922.03664273775178</c:v>
                </c:pt>
                <c:pt idx="1">
                  <c:v>461.01832136887589</c:v>
                </c:pt>
                <c:pt idx="2">
                  <c:v>307.34554757925059</c:v>
                </c:pt>
                <c:pt idx="3">
                  <c:v>230.50916068443794</c:v>
                </c:pt>
                <c:pt idx="4">
                  <c:v>184.40732854755035</c:v>
                </c:pt>
                <c:pt idx="5">
                  <c:v>153.6727737896253</c:v>
                </c:pt>
                <c:pt idx="6">
                  <c:v>92.203664273775175</c:v>
                </c:pt>
                <c:pt idx="7">
                  <c:v>61.469109515850114</c:v>
                </c:pt>
                <c:pt idx="8">
                  <c:v>46.101832136887587</c:v>
                </c:pt>
                <c:pt idx="9">
                  <c:v>30.734554757925057</c:v>
                </c:pt>
                <c:pt idx="10">
                  <c:v>23.050916068443794</c:v>
                </c:pt>
              </c:numCache>
            </c:numRef>
          </c:val>
        </c:ser>
        <c:ser>
          <c:idx val="1"/>
          <c:order val="1"/>
          <c:tx>
            <c:strRef>
              <c:f>Feuil1!$E$52</c:f>
              <c:strCache>
                <c:ptCount val="1"/>
                <c:pt idx="0">
                  <c:v>Part variable</c:v>
                </c:pt>
              </c:strCache>
            </c:strRef>
          </c:tx>
          <c:spPr>
            <a:solidFill>
              <a:srgbClr val="FF420E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Feuil1!$C$53:$C$63</c:f>
              <c:numCache>
                <c:formatCode>0</c:formatCode>
                <c:ptCount val="11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300</c:v>
                </c:pt>
                <c:pt idx="10">
                  <c:v>400</c:v>
                </c:pt>
              </c:numCache>
            </c:numRef>
          </c:cat>
          <c:val>
            <c:numRef>
              <c:f>Feuil1!$E$53:$E$63</c:f>
              <c:numCache>
                <c:formatCode>#,##0\ [$€-40C];[Red]\-#,##0\ [$€-40C]</c:formatCode>
                <c:ptCount val="11"/>
                <c:pt idx="0">
                  <c:v>43.533333333333331</c:v>
                </c:pt>
                <c:pt idx="1">
                  <c:v>43.533333333333331</c:v>
                </c:pt>
                <c:pt idx="2">
                  <c:v>43.533333333333331</c:v>
                </c:pt>
                <c:pt idx="3">
                  <c:v>43.533333333333331</c:v>
                </c:pt>
                <c:pt idx="4">
                  <c:v>43.533333333333331</c:v>
                </c:pt>
                <c:pt idx="5">
                  <c:v>43.533333333333331</c:v>
                </c:pt>
                <c:pt idx="6">
                  <c:v>43.533333333333331</c:v>
                </c:pt>
                <c:pt idx="7">
                  <c:v>43.533333333333331</c:v>
                </c:pt>
                <c:pt idx="8">
                  <c:v>43.533333333333331</c:v>
                </c:pt>
                <c:pt idx="9">
                  <c:v>43.533333333333331</c:v>
                </c:pt>
                <c:pt idx="10">
                  <c:v>43.533333333333331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4585984"/>
        <c:axId val="55841536"/>
      </c:barChart>
      <c:catAx>
        <c:axId val="5458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nb heures de vol par an</a:t>
                </a:r>
              </a:p>
            </c:rich>
          </c:tx>
          <c:layout>
            <c:manualLayout>
              <c:xMode val="edge"/>
              <c:yMode val="edge"/>
              <c:x val="0.38182927719686577"/>
              <c:y val="0.888764700872567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58415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5841536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coût de</a:t>
                </a:r>
                <a:r>
                  <a:rPr lang="fr-FR" baseline="0"/>
                  <a:t> revient par heures de vol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2.0065866583660934E-2"/>
              <c:y val="0.111917249281892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\ [$€-40C];[Red]\-#,##0\ [$€-40C]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4585984"/>
        <c:crossesAt val="1"/>
        <c:crossBetween val="between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3058676596611365"/>
          <c:y val="0.41010413521318684"/>
          <c:w val="0.15853672022736573"/>
          <c:h val="0.120786516853932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809626</xdr:colOff>
      <xdr:row>41</xdr:row>
      <xdr:rowOff>123825</xdr:rowOff>
    </xdr:from>
    <xdr:to>
      <xdr:col>11</xdr:col>
      <xdr:colOff>771526</xdr:colOff>
      <xdr:row>59</xdr:row>
      <xdr:rowOff>95250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tabSelected="1" workbookViewId="0">
      <selection activeCell="G10" sqref="G10"/>
    </sheetView>
  </sheetViews>
  <sheetFormatPr baseColWidth="10" defaultRowHeight="12.75" x14ac:dyDescent="0.2"/>
  <cols>
    <col min="1" max="1" width="12.7109375" customWidth="1"/>
    <col min="2" max="2" width="15" customWidth="1"/>
    <col min="3" max="3" width="14.85546875" customWidth="1"/>
    <col min="4" max="4" width="12.85546875" customWidth="1"/>
    <col min="5" max="5" width="12.28515625" customWidth="1"/>
    <col min="6" max="6" width="13.7109375" customWidth="1"/>
    <col min="7" max="8" width="12" customWidth="1"/>
    <col min="9" max="9" width="13.42578125" customWidth="1"/>
    <col min="10" max="10" width="11" customWidth="1"/>
    <col min="11" max="11" width="10.85546875" customWidth="1"/>
    <col min="12" max="12" width="11.7109375" customWidth="1"/>
    <col min="13" max="13" width="10" customWidth="1"/>
    <col min="14" max="14" width="11.28515625" customWidth="1"/>
    <col min="15" max="15" width="8.140625" customWidth="1"/>
    <col min="16" max="17" width="10.28515625" customWidth="1"/>
  </cols>
  <sheetData>
    <row r="1" spans="1:31" ht="18" x14ac:dyDescent="0.25">
      <c r="C1" s="1"/>
      <c r="D1" s="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97" t="s">
        <v>1</v>
      </c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2"/>
      <c r="AE1" s="2"/>
    </row>
    <row r="2" spans="1:3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4.25" x14ac:dyDescent="0.2">
      <c r="D3" s="98"/>
      <c r="E3" s="98"/>
    </row>
    <row r="4" spans="1:31" x14ac:dyDescent="0.2">
      <c r="A4" s="100" t="s">
        <v>67</v>
      </c>
      <c r="B4" s="100"/>
      <c r="C4" s="100"/>
      <c r="D4" s="100"/>
      <c r="E4" s="100"/>
    </row>
    <row r="5" spans="1:31" s="64" customFormat="1" ht="25.5" x14ac:dyDescent="0.2">
      <c r="A5" s="61"/>
      <c r="B5" s="62"/>
      <c r="C5" s="63"/>
      <c r="D5" s="65" t="s">
        <v>65</v>
      </c>
      <c r="E5" s="65" t="s">
        <v>69</v>
      </c>
      <c r="F5" s="73" t="s">
        <v>74</v>
      </c>
    </row>
    <row r="6" spans="1:31" x14ac:dyDescent="0.2">
      <c r="A6" s="78" t="s">
        <v>63</v>
      </c>
      <c r="B6" s="79"/>
      <c r="C6" s="79"/>
      <c r="D6" s="80">
        <v>83000</v>
      </c>
      <c r="E6" s="81"/>
      <c r="F6" s="82"/>
      <c r="G6" s="60"/>
    </row>
    <row r="7" spans="1:31" x14ac:dyDescent="0.2">
      <c r="A7" s="83" t="s">
        <v>60</v>
      </c>
      <c r="B7" s="84"/>
      <c r="C7" s="84"/>
      <c r="D7" s="66"/>
      <c r="E7" s="71"/>
      <c r="F7" s="74"/>
      <c r="G7" s="56"/>
    </row>
    <row r="8" spans="1:31" s="4" customFormat="1" x14ac:dyDescent="0.2">
      <c r="A8" s="83"/>
      <c r="B8" s="85" t="s">
        <v>56</v>
      </c>
      <c r="C8" s="86"/>
      <c r="D8" s="67"/>
      <c r="E8" s="67">
        <v>30000</v>
      </c>
      <c r="F8" s="75">
        <f>E8/$E$15</f>
        <v>0.36144578313253012</v>
      </c>
      <c r="G8" s="55" t="s">
        <v>75</v>
      </c>
    </row>
    <row r="9" spans="1:31" s="4" customFormat="1" x14ac:dyDescent="0.2">
      <c r="A9" s="83"/>
      <c r="B9" s="85" t="s">
        <v>58</v>
      </c>
      <c r="C9" s="86"/>
      <c r="D9" s="67"/>
      <c r="E9" s="67">
        <v>15000</v>
      </c>
      <c r="F9" s="75">
        <f>E9/$E$15</f>
        <v>0.18072289156626506</v>
      </c>
      <c r="G9" s="55"/>
    </row>
    <row r="10" spans="1:31" s="4" customFormat="1" x14ac:dyDescent="0.2">
      <c r="A10" s="83"/>
      <c r="B10" s="85" t="s">
        <v>57</v>
      </c>
      <c r="C10" s="86"/>
      <c r="D10" s="67"/>
      <c r="E10" s="67">
        <v>4000</v>
      </c>
      <c r="F10" s="75">
        <f>E10/$E$15</f>
        <v>4.8192771084337352E-2</v>
      </c>
      <c r="G10" s="55"/>
    </row>
    <row r="11" spans="1:31" s="4" customFormat="1" x14ac:dyDescent="0.2">
      <c r="A11" s="83"/>
      <c r="B11" s="85" t="s">
        <v>43</v>
      </c>
      <c r="C11" s="86"/>
      <c r="D11" s="67"/>
      <c r="E11" s="67">
        <v>10000</v>
      </c>
      <c r="F11" s="75">
        <f>E11/$E$15</f>
        <v>0.12048192771084337</v>
      </c>
      <c r="G11" s="55"/>
    </row>
    <row r="12" spans="1:31" s="4" customFormat="1" x14ac:dyDescent="0.2">
      <c r="A12" s="87" t="s">
        <v>64</v>
      </c>
      <c r="B12" s="88"/>
      <c r="C12" s="88"/>
      <c r="D12" s="68"/>
      <c r="E12" s="68"/>
      <c r="F12" s="76"/>
      <c r="G12" s="57"/>
    </row>
    <row r="13" spans="1:31" x14ac:dyDescent="0.2">
      <c r="A13" s="89"/>
      <c r="B13" s="90" t="s">
        <v>72</v>
      </c>
      <c r="C13" s="59"/>
      <c r="D13" s="69"/>
      <c r="E13" s="72">
        <v>15000</v>
      </c>
      <c r="F13" s="76">
        <f>E13/$E$15</f>
        <v>0.18072289156626506</v>
      </c>
      <c r="G13" s="58"/>
      <c r="H13" t="s">
        <v>29</v>
      </c>
      <c r="I13" s="14">
        <v>0.04</v>
      </c>
      <c r="J13" t="s">
        <v>30</v>
      </c>
      <c r="K13">
        <v>10</v>
      </c>
      <c r="L13" t="s">
        <v>31</v>
      </c>
    </row>
    <row r="14" spans="1:31" x14ac:dyDescent="0.2">
      <c r="A14" s="91"/>
      <c r="B14" s="92" t="s">
        <v>73</v>
      </c>
      <c r="C14" s="93"/>
      <c r="D14" s="94"/>
      <c r="E14" s="95">
        <f>D15-SUM(E8:E11)-E13</f>
        <v>9000</v>
      </c>
      <c r="F14" s="96">
        <f>E14/$E$15</f>
        <v>0.10843373493975904</v>
      </c>
      <c r="G14" s="58"/>
    </row>
    <row r="15" spans="1:31" x14ac:dyDescent="0.2">
      <c r="A15" s="40"/>
      <c r="B15" s="22"/>
      <c r="C15" s="22" t="s">
        <v>40</v>
      </c>
      <c r="D15" s="70">
        <f>SUM(D6:D14)</f>
        <v>83000</v>
      </c>
      <c r="E15" s="70">
        <f>SUM(E6:E14)</f>
        <v>83000</v>
      </c>
      <c r="F15" s="77">
        <f>SUM(F8:F14)</f>
        <v>1</v>
      </c>
    </row>
    <row r="16" spans="1:31" x14ac:dyDescent="0.2">
      <c r="A16" s="4"/>
      <c r="B16" s="5"/>
      <c r="C16" s="5"/>
      <c r="E16" s="29"/>
    </row>
    <row r="17" spans="1:9" s="5" customFormat="1" x14ac:dyDescent="0.2">
      <c r="A17" s="100" t="s">
        <v>66</v>
      </c>
      <c r="B17" s="100"/>
      <c r="C17" s="100"/>
      <c r="D17" s="100"/>
      <c r="E17" s="100"/>
    </row>
    <row r="18" spans="1:9" x14ac:dyDescent="0.2">
      <c r="A18" s="20" t="s">
        <v>25</v>
      </c>
      <c r="B18" s="20"/>
      <c r="C18" s="20"/>
      <c r="D18" s="20"/>
      <c r="E18" s="43">
        <f>D6-E28-SUM(E8:E9)</f>
        <v>18000</v>
      </c>
      <c r="H18" t="s">
        <v>34</v>
      </c>
      <c r="I18" s="15">
        <f>E13*(1+I13)^K13</f>
        <v>22203.664273775168</v>
      </c>
    </row>
    <row r="19" spans="1:9" x14ac:dyDescent="0.2">
      <c r="A19" s="20" t="s">
        <v>2</v>
      </c>
      <c r="B19" s="20"/>
      <c r="C19" s="20"/>
      <c r="D19" s="44">
        <v>15</v>
      </c>
      <c r="E19" s="45"/>
      <c r="H19" t="s">
        <v>32</v>
      </c>
      <c r="I19" s="15">
        <f>I18/K13</f>
        <v>2220.3664273775166</v>
      </c>
    </row>
    <row r="20" spans="1:9" x14ac:dyDescent="0.2">
      <c r="A20" s="20" t="s">
        <v>3</v>
      </c>
      <c r="B20" s="20"/>
      <c r="C20" s="20"/>
      <c r="D20" s="42"/>
      <c r="E20" s="41">
        <f>E18/D19</f>
        <v>1200</v>
      </c>
    </row>
    <row r="21" spans="1:9" x14ac:dyDescent="0.2">
      <c r="A21" s="20" t="s">
        <v>4</v>
      </c>
      <c r="B21" s="20"/>
      <c r="C21" s="20"/>
      <c r="D21" s="42"/>
      <c r="E21" s="41">
        <v>300</v>
      </c>
    </row>
    <row r="22" spans="1:9" x14ac:dyDescent="0.2">
      <c r="A22" s="20" t="s">
        <v>5</v>
      </c>
      <c r="B22" s="20"/>
      <c r="C22" s="20"/>
      <c r="D22" s="42"/>
      <c r="E22" s="41">
        <v>2500</v>
      </c>
    </row>
    <row r="23" spans="1:9" x14ac:dyDescent="0.2">
      <c r="A23" s="20" t="s">
        <v>17</v>
      </c>
      <c r="B23" s="20"/>
      <c r="C23" s="20"/>
      <c r="D23" s="42"/>
      <c r="E23" s="41">
        <v>3000</v>
      </c>
    </row>
    <row r="24" spans="1:9" x14ac:dyDescent="0.2">
      <c r="A24" s="20" t="s">
        <v>59</v>
      </c>
      <c r="B24" s="20"/>
      <c r="C24" s="20"/>
      <c r="D24" s="42"/>
      <c r="E24" s="41">
        <f>I19</f>
        <v>2220.3664273775166</v>
      </c>
    </row>
    <row r="25" spans="1:9" s="5" customFormat="1" x14ac:dyDescent="0.2">
      <c r="A25" s="22" t="s">
        <v>6</v>
      </c>
      <c r="B25" s="22"/>
      <c r="C25" s="22"/>
      <c r="D25" s="46"/>
      <c r="E25" s="47">
        <f>SUM(E20:E24)</f>
        <v>9220.3664273775175</v>
      </c>
    </row>
    <row r="26" spans="1:9" x14ac:dyDescent="0.2">
      <c r="D26" s="28"/>
      <c r="E26" s="28"/>
    </row>
    <row r="27" spans="1:9" s="5" customFormat="1" x14ac:dyDescent="0.2">
      <c r="A27" s="100" t="s">
        <v>68</v>
      </c>
      <c r="B27" s="100"/>
      <c r="C27" s="100"/>
      <c r="D27" s="100"/>
      <c r="E27" s="100"/>
    </row>
    <row r="28" spans="1:9" x14ac:dyDescent="0.2">
      <c r="A28" s="20" t="s">
        <v>7</v>
      </c>
      <c r="B28" s="20"/>
      <c r="C28" s="20"/>
      <c r="D28" s="20"/>
      <c r="E28" s="48">
        <v>20000</v>
      </c>
    </row>
    <row r="29" spans="1:9" x14ac:dyDescent="0.2">
      <c r="A29" s="40" t="s">
        <v>8</v>
      </c>
      <c r="B29" s="40"/>
      <c r="C29" s="40"/>
      <c r="D29" s="42">
        <v>1500</v>
      </c>
      <c r="E29" s="42"/>
    </row>
    <row r="30" spans="1:9" x14ac:dyDescent="0.2">
      <c r="A30" s="40" t="s">
        <v>61</v>
      </c>
      <c r="B30" s="40"/>
      <c r="C30" s="40"/>
      <c r="D30" s="20"/>
      <c r="E30" s="41">
        <f>E28/D29</f>
        <v>13.333333333333334</v>
      </c>
    </row>
    <row r="31" spans="1:9" x14ac:dyDescent="0.2">
      <c r="A31" s="40" t="s">
        <v>10</v>
      </c>
      <c r="B31" s="20"/>
      <c r="C31" s="20"/>
      <c r="D31" s="20"/>
      <c r="E31" s="49">
        <v>1.65</v>
      </c>
    </row>
    <row r="32" spans="1:9" x14ac:dyDescent="0.2">
      <c r="A32" s="40" t="s">
        <v>9</v>
      </c>
      <c r="B32" s="20"/>
      <c r="C32" s="20"/>
      <c r="D32" s="42">
        <v>18</v>
      </c>
      <c r="E32" s="42"/>
    </row>
    <row r="33" spans="1:5" x14ac:dyDescent="0.2">
      <c r="A33" s="40" t="s">
        <v>18</v>
      </c>
      <c r="B33" s="40"/>
      <c r="C33" s="40"/>
      <c r="D33" s="20"/>
      <c r="E33" s="41">
        <f>D32*E31</f>
        <v>29.7</v>
      </c>
    </row>
    <row r="34" spans="1:5" x14ac:dyDescent="0.2">
      <c r="A34" s="40" t="s">
        <v>19</v>
      </c>
      <c r="B34" s="20"/>
      <c r="C34" s="20"/>
      <c r="D34" s="20"/>
      <c r="E34" s="41">
        <f>5/10</f>
        <v>0.5</v>
      </c>
    </row>
    <row r="35" spans="1:5" s="5" customFormat="1" x14ac:dyDescent="0.2">
      <c r="A35" s="22" t="s">
        <v>70</v>
      </c>
      <c r="B35" s="22"/>
      <c r="C35" s="22"/>
      <c r="D35" s="22"/>
      <c r="E35" s="47">
        <f>E30+E33+E34</f>
        <v>43.533333333333331</v>
      </c>
    </row>
    <row r="36" spans="1:5" x14ac:dyDescent="0.2">
      <c r="A36" s="40" t="s">
        <v>71</v>
      </c>
      <c r="B36" s="20"/>
      <c r="C36" s="20"/>
      <c r="D36" s="42">
        <v>7</v>
      </c>
      <c r="E36" s="42"/>
    </row>
    <row r="37" spans="1:5" x14ac:dyDescent="0.2">
      <c r="A37" s="40" t="s">
        <v>20</v>
      </c>
      <c r="B37" s="20"/>
      <c r="C37" s="20"/>
      <c r="D37" s="42"/>
      <c r="E37" s="49">
        <f>E35/D36</f>
        <v>6.2190476190476192</v>
      </c>
    </row>
    <row r="38" spans="1:5" x14ac:dyDescent="0.2">
      <c r="A38" s="40" t="s">
        <v>62</v>
      </c>
      <c r="B38" s="20"/>
      <c r="C38" s="20"/>
      <c r="D38" s="50">
        <f>D32/D36</f>
        <v>2.5714285714285716</v>
      </c>
      <c r="E38" s="42"/>
    </row>
    <row r="39" spans="1:5" x14ac:dyDescent="0.2">
      <c r="A39" s="40" t="s">
        <v>11</v>
      </c>
      <c r="B39" s="20"/>
      <c r="C39" s="20"/>
      <c r="D39" s="42"/>
      <c r="E39" s="49">
        <f>D38*E31</f>
        <v>4.2428571428571429</v>
      </c>
    </row>
    <row r="40" spans="1:5" x14ac:dyDescent="0.2">
      <c r="A40" s="40" t="s">
        <v>23</v>
      </c>
      <c r="B40" s="20"/>
      <c r="C40" s="20"/>
      <c r="D40" s="42"/>
      <c r="E40" s="49">
        <v>1.5</v>
      </c>
    </row>
    <row r="41" spans="1:5" s="5" customFormat="1" x14ac:dyDescent="0.2">
      <c r="A41" s="22" t="s">
        <v>21</v>
      </c>
      <c r="B41" s="22"/>
      <c r="C41" s="22"/>
      <c r="D41" s="46"/>
      <c r="E41" s="47">
        <f>SUM(E37:E40)</f>
        <v>11.961904761904762</v>
      </c>
    </row>
    <row r="42" spans="1:5" x14ac:dyDescent="0.2">
      <c r="A42" s="5"/>
      <c r="D42" s="11"/>
      <c r="E42" s="31"/>
    </row>
    <row r="43" spans="1:5" x14ac:dyDescent="0.2">
      <c r="A43" s="5"/>
      <c r="B43" s="5"/>
      <c r="C43" s="6"/>
      <c r="D43" s="11"/>
      <c r="E43" s="32"/>
    </row>
    <row r="44" spans="1:5" x14ac:dyDescent="0.2">
      <c r="C44" s="6"/>
      <c r="D44" s="30"/>
      <c r="E44" s="30"/>
    </row>
    <row r="45" spans="1:5" x14ac:dyDescent="0.2">
      <c r="C45" s="6"/>
      <c r="D45" s="30"/>
      <c r="E45" s="30"/>
    </row>
    <row r="46" spans="1:5" x14ac:dyDescent="0.2">
      <c r="C46" s="6"/>
      <c r="D46" s="30"/>
      <c r="E46" s="30"/>
    </row>
    <row r="47" spans="1:5" x14ac:dyDescent="0.2">
      <c r="C47" s="6"/>
      <c r="D47" s="30"/>
      <c r="E47" s="30"/>
    </row>
    <row r="48" spans="1:5" x14ac:dyDescent="0.2">
      <c r="C48" s="6"/>
      <c r="D48" s="30"/>
      <c r="E48" s="30"/>
    </row>
    <row r="49" spans="1:6" x14ac:dyDescent="0.2">
      <c r="C49" s="6"/>
      <c r="D49" s="30"/>
      <c r="E49" s="33"/>
    </row>
    <row r="51" spans="1:6" ht="27.6" customHeight="1" x14ac:dyDescent="0.2">
      <c r="C51" s="99" t="s">
        <v>12</v>
      </c>
      <c r="D51" s="99"/>
    </row>
    <row r="52" spans="1:6" ht="25.5" x14ac:dyDescent="0.2">
      <c r="A52" t="s">
        <v>22</v>
      </c>
      <c r="B52" s="7" t="s">
        <v>13</v>
      </c>
      <c r="C52" s="7" t="s">
        <v>14</v>
      </c>
      <c r="D52" s="7" t="s">
        <v>15</v>
      </c>
      <c r="E52" s="5" t="s">
        <v>16</v>
      </c>
      <c r="F52" s="7" t="s">
        <v>40</v>
      </c>
    </row>
    <row r="53" spans="1:6" x14ac:dyDescent="0.2">
      <c r="B53" s="8">
        <f t="shared" ref="B53:B60" si="0">C53*$D$36</f>
        <v>70</v>
      </c>
      <c r="C53" s="9">
        <v>10</v>
      </c>
      <c r="D53" s="10">
        <f t="shared" ref="D53:D63" si="1">E$25/C53</f>
        <v>922.03664273775178</v>
      </c>
      <c r="E53" s="10">
        <f t="shared" ref="E53:E63" si="2">$E$35</f>
        <v>43.533333333333331</v>
      </c>
      <c r="F53" s="10">
        <f>D53+E53</f>
        <v>965.56997607108508</v>
      </c>
    </row>
    <row r="54" spans="1:6" x14ac:dyDescent="0.2">
      <c r="B54" s="8">
        <f t="shared" si="0"/>
        <v>140</v>
      </c>
      <c r="C54" s="9">
        <v>20</v>
      </c>
      <c r="D54" s="10">
        <f t="shared" si="1"/>
        <v>461.01832136887589</v>
      </c>
      <c r="E54" s="10">
        <f t="shared" si="2"/>
        <v>43.533333333333331</v>
      </c>
      <c r="F54" s="10">
        <f t="shared" ref="F54:F62" si="3">D54+E54</f>
        <v>504.55165470220925</v>
      </c>
    </row>
    <row r="55" spans="1:6" x14ac:dyDescent="0.2">
      <c r="B55" s="8">
        <f t="shared" si="0"/>
        <v>210</v>
      </c>
      <c r="C55" s="9">
        <v>30</v>
      </c>
      <c r="D55" s="10">
        <f t="shared" si="1"/>
        <v>307.34554757925059</v>
      </c>
      <c r="E55" s="10">
        <f t="shared" si="2"/>
        <v>43.533333333333331</v>
      </c>
      <c r="F55" s="10">
        <f t="shared" si="3"/>
        <v>350.8788809125839</v>
      </c>
    </row>
    <row r="56" spans="1:6" x14ac:dyDescent="0.2">
      <c r="B56" s="8">
        <f t="shared" si="0"/>
        <v>280</v>
      </c>
      <c r="C56" s="9">
        <v>40</v>
      </c>
      <c r="D56" s="10">
        <f t="shared" si="1"/>
        <v>230.50916068443794</v>
      </c>
      <c r="E56" s="10">
        <f t="shared" si="2"/>
        <v>43.533333333333331</v>
      </c>
      <c r="F56" s="10">
        <f t="shared" si="3"/>
        <v>274.04249401777128</v>
      </c>
    </row>
    <row r="57" spans="1:6" x14ac:dyDescent="0.2">
      <c r="B57" s="8">
        <f t="shared" si="0"/>
        <v>350</v>
      </c>
      <c r="C57" s="9">
        <v>50</v>
      </c>
      <c r="D57" s="10">
        <f t="shared" si="1"/>
        <v>184.40732854755035</v>
      </c>
      <c r="E57" s="10">
        <f t="shared" si="2"/>
        <v>43.533333333333331</v>
      </c>
      <c r="F57" s="10">
        <f t="shared" si="3"/>
        <v>227.94066188088368</v>
      </c>
    </row>
    <row r="58" spans="1:6" x14ac:dyDescent="0.2">
      <c r="B58" s="8">
        <f t="shared" si="0"/>
        <v>420</v>
      </c>
      <c r="C58" s="9">
        <v>60</v>
      </c>
      <c r="D58" s="10">
        <f t="shared" si="1"/>
        <v>153.6727737896253</v>
      </c>
      <c r="E58" s="10">
        <f t="shared" si="2"/>
        <v>43.533333333333331</v>
      </c>
      <c r="F58" s="10">
        <f t="shared" si="3"/>
        <v>197.20610712295863</v>
      </c>
    </row>
    <row r="59" spans="1:6" x14ac:dyDescent="0.2">
      <c r="B59" s="8">
        <f t="shared" si="0"/>
        <v>700</v>
      </c>
      <c r="C59" s="9">
        <v>100</v>
      </c>
      <c r="D59" s="10">
        <f t="shared" si="1"/>
        <v>92.203664273775175</v>
      </c>
      <c r="E59" s="10">
        <f t="shared" si="2"/>
        <v>43.533333333333331</v>
      </c>
      <c r="F59" s="10">
        <f t="shared" si="3"/>
        <v>135.73699760710849</v>
      </c>
    </row>
    <row r="60" spans="1:6" x14ac:dyDescent="0.2">
      <c r="B60" s="8">
        <f t="shared" si="0"/>
        <v>1050</v>
      </c>
      <c r="C60" s="9">
        <v>150</v>
      </c>
      <c r="D60" s="10">
        <f t="shared" si="1"/>
        <v>61.469109515850114</v>
      </c>
      <c r="E60" s="10">
        <f t="shared" si="2"/>
        <v>43.533333333333331</v>
      </c>
      <c r="F60" s="10">
        <f t="shared" si="3"/>
        <v>105.00244284918344</v>
      </c>
    </row>
    <row r="61" spans="1:6" x14ac:dyDescent="0.2">
      <c r="A61">
        <v>100</v>
      </c>
      <c r="B61">
        <v>400</v>
      </c>
      <c r="C61" s="9">
        <v>200</v>
      </c>
      <c r="D61" s="10">
        <f t="shared" si="1"/>
        <v>46.101832136887587</v>
      </c>
      <c r="E61" s="10">
        <f t="shared" si="2"/>
        <v>43.533333333333331</v>
      </c>
      <c r="F61" s="10">
        <f t="shared" si="3"/>
        <v>89.635165470220926</v>
      </c>
    </row>
    <row r="62" spans="1:6" x14ac:dyDescent="0.2">
      <c r="C62" s="9">
        <v>300</v>
      </c>
      <c r="D62" s="10">
        <f t="shared" si="1"/>
        <v>30.734554757925057</v>
      </c>
      <c r="E62" s="10">
        <f t="shared" si="2"/>
        <v>43.533333333333331</v>
      </c>
      <c r="F62" s="10">
        <f t="shared" si="3"/>
        <v>74.267888091258385</v>
      </c>
    </row>
    <row r="63" spans="1:6" x14ac:dyDescent="0.2">
      <c r="C63" s="9">
        <v>400</v>
      </c>
      <c r="D63" s="10">
        <f t="shared" si="1"/>
        <v>23.050916068443794</v>
      </c>
      <c r="E63" s="10">
        <f t="shared" si="2"/>
        <v>43.533333333333331</v>
      </c>
      <c r="F63" s="10">
        <f t="shared" ref="F63" si="4">D63+E63</f>
        <v>66.584249401777129</v>
      </c>
    </row>
    <row r="64" spans="1:6" x14ac:dyDescent="0.2">
      <c r="B64" s="8"/>
    </row>
    <row r="65" spans="1:13" s="34" customFormat="1" ht="38.25" x14ac:dyDescent="0.2">
      <c r="A65" s="35" t="s">
        <v>46</v>
      </c>
      <c r="B65" s="35" t="s">
        <v>24</v>
      </c>
      <c r="C65" s="35" t="s">
        <v>47</v>
      </c>
      <c r="D65" s="36" t="s">
        <v>48</v>
      </c>
      <c r="E65" s="36" t="s">
        <v>50</v>
      </c>
      <c r="F65" s="36" t="s">
        <v>51</v>
      </c>
      <c r="G65" s="36" t="s">
        <v>52</v>
      </c>
      <c r="H65" s="36" t="s">
        <v>49</v>
      </c>
      <c r="I65" s="36" t="s">
        <v>53</v>
      </c>
      <c r="J65" s="37" t="s">
        <v>54</v>
      </c>
      <c r="K65" s="37" t="s">
        <v>26</v>
      </c>
      <c r="L65" s="37" t="s">
        <v>27</v>
      </c>
      <c r="M65" s="51" t="s">
        <v>55</v>
      </c>
    </row>
    <row r="66" spans="1:13" x14ac:dyDescent="0.2">
      <c r="A66" s="53">
        <v>30</v>
      </c>
      <c r="B66" s="53">
        <v>200</v>
      </c>
      <c r="C66" s="54">
        <f t="shared" ref="C66:C72" si="5">A66+B66/$D$36</f>
        <v>58.571428571428569</v>
      </c>
      <c r="D66" s="38">
        <f t="shared" ref="D66:D72" si="6">C66*$E$35</f>
        <v>2549.8095238095234</v>
      </c>
      <c r="E66" s="38">
        <f t="shared" ref="E66:E72" si="7">B66*$E$40</f>
        <v>300</v>
      </c>
      <c r="F66" s="38">
        <f t="shared" ref="F66:F72" si="8">$E$25</f>
        <v>9220.3664273775175</v>
      </c>
      <c r="G66" s="38">
        <f t="shared" ref="G66:G72" si="9">D66+E66+F66</f>
        <v>12070.17595118704</v>
      </c>
      <c r="H66" s="38">
        <f t="shared" ref="H66:H72" si="10">G66/C66</f>
        <v>206.07617477636413</v>
      </c>
      <c r="I66" s="38">
        <f t="shared" ref="I66:I72" si="11">H66/$D$36</f>
        <v>29.439453539480589</v>
      </c>
      <c r="J66" s="39">
        <v>80</v>
      </c>
      <c r="K66" s="39">
        <v>23</v>
      </c>
      <c r="L66" s="39">
        <f t="shared" ref="L66:L72" si="12">J66*A66+K66*B66</f>
        <v>7000</v>
      </c>
      <c r="M66" s="52">
        <f t="shared" ref="M66:M72" si="13">L66-G66</f>
        <v>-5070.1759511870405</v>
      </c>
    </row>
    <row r="67" spans="1:13" x14ac:dyDescent="0.2">
      <c r="A67" s="53">
        <v>70</v>
      </c>
      <c r="B67" s="53">
        <v>200</v>
      </c>
      <c r="C67" s="54">
        <f t="shared" si="5"/>
        <v>98.571428571428569</v>
      </c>
      <c r="D67" s="38">
        <f t="shared" si="6"/>
        <v>4291.1428571428569</v>
      </c>
      <c r="E67" s="38">
        <f t="shared" si="7"/>
        <v>300</v>
      </c>
      <c r="F67" s="38">
        <f t="shared" si="8"/>
        <v>9220.3664273775175</v>
      </c>
      <c r="G67" s="38">
        <f t="shared" si="9"/>
        <v>13811.509284520374</v>
      </c>
      <c r="H67" s="38">
        <f t="shared" si="10"/>
        <v>140.11676085745307</v>
      </c>
      <c r="I67" s="38">
        <f t="shared" si="11"/>
        <v>20.016680122493295</v>
      </c>
      <c r="J67" s="39">
        <v>80</v>
      </c>
      <c r="K67" s="39">
        <v>23</v>
      </c>
      <c r="L67" s="39">
        <f t="shared" si="12"/>
        <v>10200</v>
      </c>
      <c r="M67" s="52">
        <f t="shared" si="13"/>
        <v>-3611.5092845203744</v>
      </c>
    </row>
    <row r="68" spans="1:13" x14ac:dyDescent="0.2">
      <c r="A68" s="53">
        <v>100</v>
      </c>
      <c r="B68" s="53">
        <v>400</v>
      </c>
      <c r="C68" s="54">
        <f t="shared" si="5"/>
        <v>157.14285714285714</v>
      </c>
      <c r="D68" s="38">
        <f t="shared" si="6"/>
        <v>6840.9523809523807</v>
      </c>
      <c r="E68" s="38">
        <f t="shared" si="7"/>
        <v>600</v>
      </c>
      <c r="F68" s="38">
        <f t="shared" si="8"/>
        <v>9220.3664273775175</v>
      </c>
      <c r="G68" s="38">
        <f t="shared" si="9"/>
        <v>16661.318808329899</v>
      </c>
      <c r="H68" s="38">
        <f t="shared" si="10"/>
        <v>106.02657423482664</v>
      </c>
      <c r="I68" s="38">
        <f t="shared" si="11"/>
        <v>15.146653462118092</v>
      </c>
      <c r="J68" s="39">
        <v>80</v>
      </c>
      <c r="K68" s="39">
        <v>23</v>
      </c>
      <c r="L68" s="39">
        <f t="shared" si="12"/>
        <v>17200</v>
      </c>
      <c r="M68" s="52">
        <f t="shared" si="13"/>
        <v>538.68119167010082</v>
      </c>
    </row>
    <row r="69" spans="1:13" x14ac:dyDescent="0.2">
      <c r="A69" s="53">
        <v>100</v>
      </c>
      <c r="B69" s="53">
        <v>600</v>
      </c>
      <c r="C69" s="54">
        <f t="shared" si="5"/>
        <v>185.71428571428572</v>
      </c>
      <c r="D69" s="38">
        <f t="shared" si="6"/>
        <v>8084.7619047619046</v>
      </c>
      <c r="E69" s="38">
        <f t="shared" si="7"/>
        <v>900</v>
      </c>
      <c r="F69" s="38">
        <f t="shared" si="8"/>
        <v>9220.3664273775175</v>
      </c>
      <c r="G69" s="38">
        <f t="shared" si="9"/>
        <v>18205.128332139422</v>
      </c>
      <c r="H69" s="38">
        <f t="shared" si="10"/>
        <v>98.027614096135352</v>
      </c>
      <c r="I69" s="38">
        <f t="shared" si="11"/>
        <v>14.003944870876479</v>
      </c>
      <c r="J69" s="39">
        <v>80</v>
      </c>
      <c r="K69" s="39">
        <v>23</v>
      </c>
      <c r="L69" s="39">
        <f t="shared" si="12"/>
        <v>21800</v>
      </c>
      <c r="M69" s="52">
        <f t="shared" si="13"/>
        <v>3594.8716678605779</v>
      </c>
    </row>
    <row r="70" spans="1:13" x14ac:dyDescent="0.2">
      <c r="A70" s="53">
        <v>150</v>
      </c>
      <c r="B70" s="53">
        <v>600</v>
      </c>
      <c r="C70" s="54">
        <f t="shared" si="5"/>
        <v>235.71428571428572</v>
      </c>
      <c r="D70" s="38">
        <f t="shared" si="6"/>
        <v>10261.428571428571</v>
      </c>
      <c r="E70" s="38">
        <f t="shared" si="7"/>
        <v>900</v>
      </c>
      <c r="F70" s="38">
        <f t="shared" si="8"/>
        <v>9220.3664273775175</v>
      </c>
      <c r="G70" s="38">
        <f t="shared" si="9"/>
        <v>20381.794998806086</v>
      </c>
      <c r="H70" s="38">
        <f t="shared" si="10"/>
        <v>86.468221207056118</v>
      </c>
      <c r="I70" s="38">
        <f t="shared" si="11"/>
        <v>12.352603029579445</v>
      </c>
      <c r="J70" s="39">
        <v>80</v>
      </c>
      <c r="K70" s="39">
        <v>23</v>
      </c>
      <c r="L70" s="39">
        <f t="shared" si="12"/>
        <v>25800</v>
      </c>
      <c r="M70" s="52">
        <f t="shared" si="13"/>
        <v>5418.2050011939136</v>
      </c>
    </row>
    <row r="71" spans="1:13" x14ac:dyDescent="0.2">
      <c r="A71" s="53">
        <v>200</v>
      </c>
      <c r="B71" s="53">
        <v>600</v>
      </c>
      <c r="C71" s="54">
        <f t="shared" si="5"/>
        <v>285.71428571428572</v>
      </c>
      <c r="D71" s="38">
        <f t="shared" si="6"/>
        <v>12438.095238095239</v>
      </c>
      <c r="E71" s="38">
        <f t="shared" si="7"/>
        <v>900</v>
      </c>
      <c r="F71" s="38">
        <f t="shared" si="8"/>
        <v>9220.3664273775175</v>
      </c>
      <c r="G71" s="38">
        <f t="shared" si="9"/>
        <v>22558.461665472758</v>
      </c>
      <c r="H71" s="38">
        <f t="shared" si="10"/>
        <v>78.954615829154648</v>
      </c>
      <c r="I71" s="38">
        <f t="shared" si="11"/>
        <v>11.279230832736378</v>
      </c>
      <c r="J71" s="39">
        <v>80</v>
      </c>
      <c r="K71" s="39">
        <v>23</v>
      </c>
      <c r="L71" s="39">
        <f t="shared" si="12"/>
        <v>29800</v>
      </c>
      <c r="M71" s="52">
        <f t="shared" si="13"/>
        <v>7241.5383345272421</v>
      </c>
    </row>
    <row r="72" spans="1:13" x14ac:dyDescent="0.2">
      <c r="A72" s="53">
        <v>0</v>
      </c>
      <c r="B72" s="53">
        <v>1000</v>
      </c>
      <c r="C72" s="54">
        <f t="shared" si="5"/>
        <v>142.85714285714286</v>
      </c>
      <c r="D72" s="38">
        <f t="shared" si="6"/>
        <v>6219.0476190476193</v>
      </c>
      <c r="E72" s="38">
        <f t="shared" si="7"/>
        <v>1500</v>
      </c>
      <c r="F72" s="38">
        <f t="shared" si="8"/>
        <v>9220.3664273775175</v>
      </c>
      <c r="G72" s="38">
        <f t="shared" si="9"/>
        <v>16939.414046425136</v>
      </c>
      <c r="H72" s="38">
        <f t="shared" si="10"/>
        <v>118.57589832497595</v>
      </c>
      <c r="I72" s="38">
        <f t="shared" si="11"/>
        <v>16.939414046425135</v>
      </c>
      <c r="J72" s="39">
        <v>80</v>
      </c>
      <c r="K72" s="39">
        <v>23</v>
      </c>
      <c r="L72" s="39">
        <f t="shared" si="12"/>
        <v>23000</v>
      </c>
      <c r="M72" s="52">
        <f t="shared" si="13"/>
        <v>6060.5859535748641</v>
      </c>
    </row>
    <row r="73" spans="1:13" x14ac:dyDescent="0.2">
      <c r="C73" s="12"/>
      <c r="D73" s="13"/>
      <c r="E73" s="13"/>
      <c r="F73" s="13"/>
      <c r="G73" s="13"/>
      <c r="H73" s="13"/>
      <c r="I73" s="13"/>
    </row>
  </sheetData>
  <sheetProtection selectLockedCells="1" selectUnlockedCells="1"/>
  <mergeCells count="6">
    <mergeCell ref="Q1:AC1"/>
    <mergeCell ref="D3:E3"/>
    <mergeCell ref="C51:D51"/>
    <mergeCell ref="A4:E4"/>
    <mergeCell ref="A17:E17"/>
    <mergeCell ref="A27:E27"/>
  </mergeCells>
  <pageMargins left="0" right="0" top="0.19652777777777777" bottom="0.19652777777777777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showGridLines="0" workbookViewId="0">
      <selection activeCell="A2" sqref="A2:G9"/>
    </sheetView>
  </sheetViews>
  <sheetFormatPr baseColWidth="10" defaultRowHeight="12.75" x14ac:dyDescent="0.2"/>
  <cols>
    <col min="1" max="1" width="18.140625" customWidth="1"/>
    <col min="2" max="2" width="11.85546875" style="15" bestFit="1" customWidth="1"/>
    <col min="3" max="3" width="3.85546875" customWidth="1"/>
    <col min="4" max="4" width="24.28515625" customWidth="1"/>
    <col min="5" max="5" width="11.85546875" style="15" bestFit="1" customWidth="1"/>
    <col min="6" max="6" width="12" style="15" customWidth="1"/>
    <col min="7" max="7" width="8.28515625" style="14" customWidth="1"/>
  </cols>
  <sheetData>
    <row r="2" spans="1:7" s="16" customFormat="1" x14ac:dyDescent="0.2">
      <c r="A2" s="17" t="s">
        <v>44</v>
      </c>
      <c r="B2" s="18" t="s">
        <v>35</v>
      </c>
      <c r="D2" s="17" t="s">
        <v>36</v>
      </c>
      <c r="E2" s="18" t="s">
        <v>37</v>
      </c>
      <c r="F2" s="18"/>
      <c r="G2" s="19" t="s">
        <v>39</v>
      </c>
    </row>
    <row r="3" spans="1:7" x14ac:dyDescent="0.2">
      <c r="A3" s="20" t="s">
        <v>38</v>
      </c>
      <c r="B3" s="21">
        <v>83000</v>
      </c>
      <c r="D3" s="20" t="s">
        <v>41</v>
      </c>
      <c r="E3" s="21">
        <v>40000</v>
      </c>
      <c r="F3" s="21"/>
      <c r="G3" s="24">
        <f>E3/$B$9</f>
        <v>0.48192771084337349</v>
      </c>
    </row>
    <row r="4" spans="1:7" x14ac:dyDescent="0.2">
      <c r="A4" s="20"/>
      <c r="B4" s="21"/>
      <c r="D4" s="20" t="s">
        <v>42</v>
      </c>
      <c r="E4" s="21">
        <f>10000</f>
        <v>10000</v>
      </c>
      <c r="F4" s="21"/>
      <c r="G4" s="24">
        <f>E4/$B$9</f>
        <v>0.12048192771084337</v>
      </c>
    </row>
    <row r="5" spans="1:7" x14ac:dyDescent="0.2">
      <c r="A5" s="20"/>
      <c r="B5" s="21"/>
      <c r="D5" s="20" t="s">
        <v>43</v>
      </c>
      <c r="E5" s="21">
        <v>5000</v>
      </c>
      <c r="F5" s="21"/>
      <c r="G5" s="24">
        <f>E5/$B$9</f>
        <v>6.0240963855421686E-2</v>
      </c>
    </row>
    <row r="6" spans="1:7" x14ac:dyDescent="0.2">
      <c r="A6" s="20"/>
      <c r="B6" s="21"/>
      <c r="D6" s="20" t="s">
        <v>33</v>
      </c>
      <c r="E6" s="21">
        <f>SUM(F7:F8)</f>
        <v>28000</v>
      </c>
      <c r="F6" s="21"/>
      <c r="G6" s="24">
        <f>E6/$B$9</f>
        <v>0.33734939759036142</v>
      </c>
    </row>
    <row r="7" spans="1:7" x14ac:dyDescent="0.2">
      <c r="A7" s="20"/>
      <c r="B7" s="21"/>
      <c r="D7" s="25" t="s">
        <v>28</v>
      </c>
      <c r="E7" s="21"/>
      <c r="F7" s="26">
        <v>15000</v>
      </c>
      <c r="G7" s="24"/>
    </row>
    <row r="8" spans="1:7" x14ac:dyDescent="0.2">
      <c r="A8" s="20"/>
      <c r="B8" s="21"/>
      <c r="D8" s="25" t="s">
        <v>45</v>
      </c>
      <c r="E8" s="21"/>
      <c r="F8" s="26">
        <f>$B$9-SUM(E3:E5)-SUM(F7)</f>
        <v>13000</v>
      </c>
      <c r="G8" s="24"/>
    </row>
    <row r="9" spans="1:7" s="5" customFormat="1" x14ac:dyDescent="0.2">
      <c r="A9" s="22" t="s">
        <v>40</v>
      </c>
      <c r="B9" s="23">
        <f>SUM(B3:B8)</f>
        <v>83000</v>
      </c>
      <c r="D9" s="22" t="s">
        <v>40</v>
      </c>
      <c r="E9" s="23">
        <f>SUM(E3:E5)+E6</f>
        <v>83000</v>
      </c>
      <c r="F9" s="23"/>
      <c r="G9" s="27">
        <f>SUM(G3:G8)</f>
        <v>0.99999999999999989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34550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CRUETTE</dc:creator>
  <cp:lastModifiedBy>DE PECHY Philippe NRS</cp:lastModifiedBy>
  <cp:revision>28</cp:revision>
  <cp:lastPrinted>2008-04-17T08:55:38Z</cp:lastPrinted>
  <dcterms:created xsi:type="dcterms:W3CDTF">2008-02-20T13:52:29Z</dcterms:created>
  <dcterms:modified xsi:type="dcterms:W3CDTF">2014-07-11T12:44:19Z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1951387506</vt:i4>
  </property>
  <property fmtid="{D5CDD505-2E9C-101B-9397-08002B2CF9AE}" pid="3" name="_AuthorEmail">
    <vt:lpwstr>denise.cruette@free.fr</vt:lpwstr>
  </property>
  <property fmtid="{D5CDD505-2E9C-101B-9397-08002B2CF9AE}" pid="4" name="_AuthorEmailDisplayName">
    <vt:lpwstr>Denise Cruette</vt:lpwstr>
  </property>
  <property fmtid="{D5CDD505-2E9C-101B-9397-08002B2CF9AE}" pid="5" name="_EmailSubject">
    <vt:lpwstr>www.planeur.net: ouverture d\'une rubrique \"commissions remorqueurs\"</vt:lpwstr>
  </property>
  <property fmtid="{D5CDD505-2E9C-101B-9397-08002B2CF9AE}" pid="6" name="_ReviewingToolsShownOnce">
    <vt:lpwstr/>
  </property>
</Properties>
</file>